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tor" sheetId="1" r:id="rId4"/>
  </sheets>
  <definedNames/>
  <calcPr/>
  <extLst>
    <ext uri="GoogleSheetsCustomDataVersion2">
      <go:sheetsCustomData xmlns:go="http://customooxmlschemas.google.com/" r:id="rId5" roundtripDataChecksum="2TrfTLwyVvkpXuLLsHTaclCgsLnOMDzPt3IxXhM2aY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6">
      <text>
        <t xml:space="preserve">======
ID#AAACINbS674
Unknown Author    (2026-10-05 13:43:52)
The Start row shows the starting values from Step 1 before any demand is read. Nothing to fill in here.</t>
      </text>
    </comment>
    <comment authorId="0" ref="A25">
      <text>
        <t xml:space="preserve">======
ID#AAACINbS67s
Unknown Author    (2026-10-05 13:43:52)
The period number, 1 to 12, oldest first. Use weeks, months or any other equal period, as long as you are consistent.</t>
      </text>
    </comment>
    <comment authorId="0" ref="B25">
      <text>
        <t xml:space="preserve">======
ID#AAACINbS68M
Unknown Author    (2026-10-05 13:43:52)
YOU FILL THIS IN. Units sold or shipped in the period. Enter 0 for a period with no sales.</t>
      </text>
    </comment>
    <comment authorId="0" ref="C25">
      <text>
        <t xml:space="preserve">======
ID#AAACINbS68c
Unknown Author    (2026-10-05 13:43:52)
Simple exponential smoothing forecast after this period, in units per period. Updated every period: previous level + alpha x (demand - previous level). It drops after every zero and jumps after every sale.</t>
      </text>
    </comment>
    <comment authorId="0" ref="A55">
      <text>
        <t xml:space="preserve">======
ID#AAACINbS68A
Unknown Author    (2026-10-05 13:43:52)
The accuracy measure being calculated, scored period by period on your 12 periods of demand.</t>
      </text>
    </comment>
    <comment authorId="0" ref="B55">
      <text>
        <t xml:space="preserve">======
ID#AAACINbS68Q
Unknown Author    (2026-10-05 13:43:52)
Scores for the flat forecast you type in the yellow cell below (0 by default).</t>
      </text>
    </comment>
    <comment authorId="0" ref="D25">
      <text>
        <t xml:space="preserve">======
ID#AAACINbS68Y
Unknown Author    (2026-10-05 13:43:52)
Croston's smoothed estimate of how big a sale is, in units. It only changes in a period with a sale.</t>
      </text>
    </comment>
    <comment authorId="0" ref="C55">
      <text>
        <t xml:space="preserve">======
ID#AAACINbS68U
Unknown Author    (2026-10-05 13:43:52)
Scores for a flat forecast equal to the actual average demand of your 12 periods.</t>
      </text>
    </comment>
    <comment authorId="0" ref="E25">
      <text>
        <t xml:space="preserve">======
ID#AAACINbS670
Unknown Author    (2026-10-05 13:43:52)
Croston's smoothed estimate of how many periods pass between sales. It only changes in a period with a sale.</t>
      </text>
    </comment>
    <comment authorId="0" ref="F25">
      <text>
        <t xml:space="preserve">======
ID#AAACINbS68I
Unknown Author    (2026-10-05 13:43:52)
Counts periods since the previous sale, including this one. In a period with a sale, this is the interval that Croston smooths.</t>
      </text>
    </comment>
    <comment authorId="0" ref="D55">
      <text>
        <t xml:space="preserve">======
ID#AAACINbS67w
Unknown Author    (2026-10-05 13:43:52)
A plain-language reading of the row.</t>
      </text>
    </comment>
    <comment authorId="0" ref="G25">
      <text>
        <t xml:space="preserve">======
ID#AAACINbS68E
Unknown Author    (2026-10-05 13:43:52)
Croston's forecast in units per period: size (z) divided by interval (p). Read it as an average rate, not as a prediction for one period.</t>
      </text>
    </comment>
    <comment authorId="0" ref="H25">
      <text>
        <t xml:space="preserve">======
ID#AAACINbS678
Unknown Author    (2026-10-05 13:43:52)
Syntetos-Boylan Approximation: the Croston forecast multiplied by (1 - alpha / 2). It removes most of Croston's upward bias.</t>
      </text>
    </comment>
    <comment authorId="0" ref="I25">
      <text>
        <t xml:space="preserve">======
ID#AAACINbS68o
Unknown Author    (2026-10-05 13:43:52)
TSB's smoothed estimate of how big a sale is, in units. It only changes in a period with a sale.</t>
      </text>
    </comment>
    <comment authorId="0" ref="J25">
      <text>
        <t xml:space="preserve">======
ID#AAACINbS68g
Unknown Author    (2026-10-05 13:43:52)
TSB's smoothed probability that a sale happens in any one period. Updated every period: it moves toward 1 after a sale and toward 0 after a zero.</t>
      </text>
    </comment>
    <comment authorId="0" ref="K25">
      <text>
        <t xml:space="preserve">======
ID#AAACINbS68k
Unknown Author    (2026-10-05 13:43:52)
TSB's forecast in units per period: size (z) multiplied by probability. It decays when an item stops selling.</t>
      </text>
    </comment>
    <comment authorId="0" ref="B40">
      <text>
        <t xml:space="preserve">======
ID#AAACINbS67k
Unknown Author    (2026-10-05 13:43:52)
Each method's forecast after the last period of data, in units per period. Use it as the expected average rate going forward.</t>
      </text>
    </comment>
    <comment authorId="0" ref="C40">
      <text>
        <t xml:space="preserve">======
ID#AAACINbS67o
Unknown Author    (2026-10-05 13:43:52)
How far the method's forecast sits above (+) or below (-) the actual average demand of your 12 periods.</t>
      </text>
    </comment>
  </commentList>
  <extLst>
    <ext uri="GoogleSheetsCustomDataVersion2">
      <go:sheetsCustomData xmlns:go="http://customooxmlschemas.google.com/" r:id="rId1" roundtripDataSignature="AMtx7miQMWbEXV3uGiC3cmgOU3AYqumANA=="/>
    </ext>
  </extLst>
</comments>
</file>

<file path=xl/sharedStrings.xml><?xml version="1.0" encoding="utf-8"?>
<sst xmlns="http://schemas.openxmlformats.org/spreadsheetml/2006/main" count="84" uniqueCount="83">
  <si>
    <t>Intermittent demand calculator</t>
  </si>
  <si>
    <t>Simple exponential smoothing, Croston, SBA and TSB run side by side on one slow-moving SKU.</t>
  </si>
  <si>
    <t>HOW TO USE THIS FILE</t>
  </si>
  <si>
    <t>1.  Only type in the YELLOW cells with blue text. Everything in a GREY cell is calculated automatically, so leave those alone.</t>
  </si>
  <si>
    <t>2.  Smoothing constant: enter your alpha in cell B16. 0.1 is the common default. A higher number makes every method react faster to new demand.</t>
  </si>
  <si>
    <t>3.  Starting values: cells B17 to B21 tell each method what to believe before it has seen any data. Keep the defaults, or follow the guidance next to each cell.</t>
  </si>
  <si>
    <t>4.  Demand history: type your own 12 periods of demand into cells B27 to B38, oldest first. Enter 0 for a period with no sales. The sheet needs exactly 12 periods.</t>
  </si>
  <si>
    <t>5.  Read the results: the forecast from each method is in cells B41 to B45, and the demand pattern (smooth, erratic, intermittent or lumpy) is in cell B52.</t>
  </si>
  <si>
    <t>6.  Optional: in cell B56, type any flat forecast (for example 0) to see how the common accuracy metrics score it against the true average.</t>
  </si>
  <si>
    <t>Tip: hover over any column heading with a small red corner mark to read what that column means.</t>
  </si>
  <si>
    <t>Colour key</t>
  </si>
  <si>
    <t>Yellow</t>
  </si>
  <si>
    <t>You fill this in</t>
  </si>
  <si>
    <t>Grey</t>
  </si>
  <si>
    <t>Calculated automatically, do not edit</t>
  </si>
  <si>
    <t>STEP 1: YOUR SETTINGS (yellow cells)</t>
  </si>
  <si>
    <t>Smoothing constant (alpha)</t>
  </si>
  <si>
    <t>Applied to every method. 0.1 is the common default (Hyndman &amp; Athanasopoulos, FPP2). Use a value between 0.05 and 0.3.</t>
  </si>
  <si>
    <t>Starting level, SES (units per week)</t>
  </si>
  <si>
    <t>Default: size of the first sale / weeks until the first sale (3 / 2 = 1.5).</t>
  </si>
  <si>
    <t>Starting demand size, Croston (units)</t>
  </si>
  <si>
    <t>Default: size of the first sale.</t>
  </si>
  <si>
    <t>Starting interval, Croston (weeks)</t>
  </si>
  <si>
    <t>Default: weeks from the start of the series to the first sale.</t>
  </si>
  <si>
    <t>Starting demand size, TSB (units)</t>
  </si>
  <si>
    <t>Starting demand probability, TSB</t>
  </si>
  <si>
    <t>Default: 1 / starting interval (1 / 2 = 0.5). Must be between 0 and 1.</t>
  </si>
  <si>
    <t>With the defaults, all four methods start from the same belief (1.5 units a week), so differences in the results come from how each method learns. With only 12 periods and a low alpha, starting values matter: change them and watch the results move.</t>
  </si>
  <si>
    <t>STEP 2: YOUR DEMAND HISTORY (yellow column) AND THE WEEK-BY-WEEK CALCULATION (grey columns)</t>
  </si>
  <si>
    <t>Week</t>
  </si>
  <si>
    <t>Demand (units)</t>
  </si>
  <si>
    <t>SES level</t>
  </si>
  <si>
    <t>Croston size (z)</t>
  </si>
  <si>
    <t>Croston interval (p)</t>
  </si>
  <si>
    <t>Weeks since last sale (q)</t>
  </si>
  <si>
    <t>Croston forecast</t>
  </si>
  <si>
    <t>SBA forecast</t>
  </si>
  <si>
    <t>TSB size (z)</t>
  </si>
  <si>
    <t>TSB probability</t>
  </si>
  <si>
    <t>TSB forecast</t>
  </si>
  <si>
    <t>Start</t>
  </si>
  <si>
    <t>RESULTS: FORECAST AFTER LAST PERIOD</t>
  </si>
  <si>
    <t>Units per week</t>
  </si>
  <si>
    <t>vs actual average</t>
  </si>
  <si>
    <t>Actual average demand</t>
  </si>
  <si>
    <t>Simple exponential smoothing</t>
  </si>
  <si>
    <t>Croston</t>
  </si>
  <si>
    <t>SBA</t>
  </si>
  <si>
    <t>TSB</t>
  </si>
  <si>
    <t>RESULTS: DEMAND PATTERN (all calculated)</t>
  </si>
  <si>
    <t>Weeks with a sale</t>
  </si>
  <si>
    <t>Average non-zero demand size</t>
  </si>
  <si>
    <t>ADI (average demand interval)</t>
  </si>
  <si>
    <t>Total periods / periods with a sale. How often the item sells. Cut-off: 1.32</t>
  </si>
  <si>
    <t>CV² of non-zero demand sizes</t>
  </si>
  <si>
    <t>(Standard deviation of sale sizes / their average) squared. How much the size of a sale varies. Cut-off: 0.49</t>
  </si>
  <si>
    <t>Demand pattern</t>
  </si>
  <si>
    <t>Smooth: exponential smoothing. Erratic: driver-based or ML models. Intermittent: Croston or SBA. Lumpy: SBA or TSB, or aggregate up.</t>
  </si>
  <si>
    <t>OPTIONAL: WHY ACCURACY METRICS MISLEAD ON SLOW MOVERS</t>
  </si>
  <si>
    <t>Metric</t>
  </si>
  <si>
    <t>Your test forecast</t>
  </si>
  <si>
    <t>The true average</t>
  </si>
  <si>
    <t>What it tells you</t>
  </si>
  <si>
    <t>Forecast tested (units per week)</t>
  </si>
  <si>
    <t>Type any flat forecast in the yellow cell to score it.</t>
  </si>
  <si>
    <t>Periods where MAPE is undefined</t>
  </si>
  <si>
    <t>MAPE divides by actual demand. Every zero period is a division by zero.</t>
  </si>
  <si>
    <t>MAE (units)</t>
  </si>
  <si>
    <t>Lower is better. A forecast of zero usually wins on a slow mover.</t>
  </si>
  <si>
    <t>WMAPE</t>
  </si>
  <si>
    <t>Lower is better. A forecast of zero usually wins here too.</t>
  </si>
  <si>
    <t>RMSE (units)</t>
  </si>
  <si>
    <t>Lower is better. Squared errors reward the right average.</t>
  </si>
  <si>
    <t>Bias</t>
  </si>
  <si>
    <t>0% is ideal. A forecast of zero misses every unit sold (-100%).</t>
  </si>
  <si>
    <t>Error on the 12-period total</t>
  </si>
  <si>
    <t>Aggregate over time and the right forecast is obvious.</t>
  </si>
  <si>
    <t>Method notes</t>
  </si>
  <si>
    <t>SES: level = previous level + alpha x (demand - previous level), updated every period.</t>
  </si>
  <si>
    <t>Croston (1972): smooths demand size and the interval between sales separately, only in periods with a sale. Forecast = size / interval.</t>
  </si>
  <si>
    <t>SBA (Syntetos &amp; Boylan, 2005): Croston forecast x (1 - alpha / 2), which removes most of Croston's upward bias.</t>
  </si>
  <si>
    <t>TSB (Teunter, Syntetos &amp; Babai, 2011): smooths demand size when a sale occurs and the probability of a sale every period. Forecast = size x probability. This sheet uses one alpha for both; TSB allows two.</t>
  </si>
  <si>
    <t>The default demand series is an illustrative example. Cut-offs: Syntetos, Boylan &amp; Croston (2005), Journal of the Operational Research Society 56(5).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</si>
</sst>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\+0%;\-0%;0%"/>
  </numFmts>
  <fonts count="12">
    <font>
      <sz val="11.0"/>
      <color theme="1"/>
      <name val="Calibri"/>
      <scheme val="minor"/>
    </font>
    <font>
      <b/>
      <sz val="16.0"/>
      <color rgb="FF23433D"/>
      <name val="Arial"/>
    </font>
    <font>
      <color theme="1"/>
      <name val="Calibri"/>
      <scheme val="minor"/>
    </font>
    <font>
      <sz val="10.0"/>
      <color theme="1"/>
      <name val="Arial"/>
    </font>
    <font>
      <b/>
      <sz val="12.0"/>
      <color rgb="FFFFFFFF"/>
      <name val="Arial"/>
    </font>
    <font>
      <sz val="11.0"/>
      <color theme="1"/>
      <name val="Calibri"/>
    </font>
    <font/>
    <font>
      <i/>
      <sz val="9.0"/>
      <color rgb="FF555555"/>
      <name val="Arial"/>
    </font>
    <font>
      <b/>
      <sz val="11.0"/>
      <color rgb="FF23433D"/>
      <name val="Arial"/>
    </font>
    <font>
      <b/>
      <sz val="10.0"/>
      <color rgb="FF0000FF"/>
      <name val="Arial"/>
    </font>
    <font>
      <b/>
      <sz val="10.0"/>
      <color rgb="FFFFFFFF"/>
      <name val="Arial"/>
    </font>
    <font>
      <b/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23433D"/>
        <bgColor rgb="FF23433D"/>
      </patternFill>
    </fill>
    <fill>
      <patternFill patternType="solid">
        <fgColor rgb="FFEBF7E8"/>
        <bgColor rgb="FFEBF7E8"/>
      </patternFill>
    </fill>
    <fill>
      <patternFill patternType="solid">
        <fgColor rgb="FFFFFF00"/>
        <bgColor rgb="FFFFFF00"/>
      </patternFill>
    </fill>
    <fill>
      <patternFill patternType="solid">
        <fgColor rgb="FFEDEDED"/>
        <bgColor rgb="FFEDEDED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shrinkToFit="0" vertical="center" wrapText="1"/>
    </xf>
    <xf borderId="3" fillId="0" fontId="6" numFmtId="0" xfId="0" applyBorder="1" applyFont="1"/>
    <xf borderId="4" fillId="0" fontId="6" numFmtId="0" xfId="0" applyBorder="1" applyFont="1"/>
    <xf borderId="2" fillId="3" fontId="7" numFmtId="0" xfId="0" applyAlignment="1" applyBorder="1" applyFill="1" applyFont="1">
      <alignment shrinkToFit="0" vertical="center" wrapText="1"/>
    </xf>
    <xf borderId="0" fillId="0" fontId="8" numFmtId="0" xfId="0" applyAlignment="1" applyFont="1">
      <alignment shrinkToFit="0" vertical="bottom" wrapText="0"/>
    </xf>
    <xf borderId="5" fillId="4" fontId="9" numFmtId="49" xfId="0" applyAlignment="1" applyBorder="1" applyFill="1" applyFont="1" applyNumberFormat="1">
      <alignment horizontal="center" shrinkToFit="0" vertical="bottom" wrapText="0"/>
    </xf>
    <xf borderId="6" fillId="5" fontId="3" numFmtId="0" xfId="0" applyAlignment="1" applyBorder="1" applyFill="1" applyFont="1">
      <alignment horizontal="center" shrinkToFit="0" vertical="bottom" wrapText="0"/>
    </xf>
    <xf borderId="5" fillId="4" fontId="9" numFmtId="2" xfId="0" applyAlignment="1" applyBorder="1" applyFill="1" applyFont="1" applyNumberForma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shrinkToFit="0" vertical="top" wrapText="1"/>
    </xf>
    <xf borderId="6" fillId="2" fontId="10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shrinkToFit="0" vertical="bottom" wrapText="0"/>
    </xf>
    <xf borderId="6" fillId="5" fontId="3" numFmtId="164" xfId="0" applyAlignment="1" applyBorder="1" applyFill="1" applyFont="1" applyNumberFormat="1">
      <alignment shrinkToFit="0" vertical="bottom" wrapText="0"/>
    </xf>
    <xf borderId="6" fillId="5" fontId="3" numFmtId="1" xfId="0" applyAlignment="1" applyBorder="1" applyFill="1" applyFont="1" applyNumberFormat="1">
      <alignment shrinkToFit="0" vertical="bottom" wrapText="0"/>
    </xf>
    <xf borderId="6" fillId="5" fontId="3" numFmtId="1" xfId="0" applyAlignment="1" applyBorder="1" applyFill="1" applyFont="1" applyNumberFormat="1">
      <alignment horizontal="center" shrinkToFit="0" vertical="bottom" wrapText="0"/>
    </xf>
    <xf borderId="5" fillId="4" fontId="9" numFmtId="1" xfId="0" applyAlignment="1" applyBorder="1" applyFill="1" applyFont="1" applyNumberFormat="1">
      <alignment horizontal="center" shrinkToFit="0" vertical="bottom" wrapText="0"/>
    </xf>
    <xf borderId="6" fillId="5" fontId="3" numFmtId="2" xfId="0" applyAlignment="1" applyBorder="1" applyFill="1" applyFont="1" applyNumberFormat="1">
      <alignment shrinkToFit="0" vertical="bottom" wrapText="0"/>
    </xf>
    <xf borderId="6" fillId="5" fontId="3" numFmtId="165" xfId="0" applyAlignment="1" applyBorder="1" applyFill="1" applyFont="1" applyNumberFormat="1">
      <alignment shrinkToFit="0" vertical="bottom" wrapText="0"/>
    </xf>
    <xf borderId="6" fillId="5" fontId="11" numFmtId="0" xfId="0" applyAlignment="1" applyBorder="1" applyFill="1" applyFont="1">
      <alignment shrinkToFit="0" vertical="bottom" wrapText="0"/>
    </xf>
    <xf borderId="6" fillId="2" fontId="10" numFmtId="0" xfId="0" applyAlignment="1" applyBorder="1" applyFill="1" applyFont="1">
      <alignment shrinkToFit="0" vertical="center" wrapText="1"/>
    </xf>
    <xf borderId="6" fillId="5" fontId="3" numFmtId="9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0</xdr:row>
      <xdr:rowOff>0</xdr:rowOff>
    </xdr:from>
    <xdr:ext cx="1000125" cy="180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0.0"/>
    <col customWidth="1" min="2" max="2" width="18.0"/>
    <col customWidth="1" min="3" max="3" width="20.0"/>
    <col customWidth="1" min="4" max="6" width="18.0"/>
    <col customWidth="1" min="7" max="7" width="16.0"/>
    <col customWidth="1" min="8" max="8" width="15.0"/>
    <col customWidth="1" min="9" max="9" width="14.0"/>
    <col customWidth="1" min="10" max="10" width="15.0"/>
    <col customWidth="1" min="11" max="11" width="14.0"/>
    <col customWidth="1" min="12" max="26" width="8.71"/>
  </cols>
  <sheetData>
    <row r="1">
      <c r="A1" s="1" t="s">
        <v>0</v>
      </c>
      <c r="J1" s="2"/>
    </row>
    <row r="2">
      <c r="A2" s="3" t="s">
        <v>1</v>
      </c>
    </row>
    <row r="4" ht="19.5" customHeight="1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18.0" customHeight="1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ht="18.0" customHeight="1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ht="18.0" customHeight="1">
      <c r="A7" s="6" t="s">
        <v>5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ht="18.0" customHeight="1">
      <c r="A8" s="6" t="s">
        <v>6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 ht="18.0" customHeight="1">
      <c r="A9" s="6" t="s">
        <v>7</v>
      </c>
      <c r="B9" s="7"/>
      <c r="C9" s="7"/>
      <c r="D9" s="7"/>
      <c r="E9" s="7"/>
      <c r="F9" s="7"/>
      <c r="G9" s="7"/>
      <c r="H9" s="7"/>
      <c r="I9" s="7"/>
      <c r="J9" s="7"/>
      <c r="K9" s="8"/>
    </row>
    <row r="10" ht="18.0" customHeight="1">
      <c r="A10" s="6" t="s">
        <v>8</v>
      </c>
      <c r="B10" s="7"/>
      <c r="C10" s="7"/>
      <c r="D10" s="7"/>
      <c r="E10" s="7"/>
      <c r="F10" s="7"/>
      <c r="G10" s="7"/>
      <c r="H10" s="7"/>
      <c r="I10" s="7"/>
      <c r="J10" s="7"/>
      <c r="K10" s="8"/>
    </row>
    <row r="11" ht="18.0" customHeight="1">
      <c r="A11" s="9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8"/>
    </row>
    <row r="13">
      <c r="A13" s="10" t="s">
        <v>10</v>
      </c>
      <c r="B13" s="11" t="s">
        <v>11</v>
      </c>
      <c r="C13" s="3" t="s">
        <v>12</v>
      </c>
      <c r="D13" s="12" t="s">
        <v>13</v>
      </c>
      <c r="E13" s="3" t="s">
        <v>14</v>
      </c>
    </row>
    <row r="15" ht="19.5" customHeight="1">
      <c r="A15" s="4" t="s">
        <v>15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>
      <c r="A16" s="3" t="s">
        <v>16</v>
      </c>
      <c r="B16" s="13">
        <v>0.1</v>
      </c>
      <c r="C16" s="14" t="s">
        <v>17</v>
      </c>
    </row>
    <row r="17">
      <c r="A17" s="3" t="s">
        <v>18</v>
      </c>
      <c r="B17" s="13">
        <v>1.5</v>
      </c>
      <c r="C17" s="14" t="s">
        <v>19</v>
      </c>
    </row>
    <row r="18">
      <c r="A18" s="3" t="s">
        <v>20</v>
      </c>
      <c r="B18" s="13">
        <v>3.0</v>
      </c>
      <c r="C18" s="14" t="s">
        <v>21</v>
      </c>
    </row>
    <row r="19">
      <c r="A19" s="3" t="s">
        <v>22</v>
      </c>
      <c r="B19" s="13">
        <v>2.0</v>
      </c>
      <c r="C19" s="14" t="s">
        <v>23</v>
      </c>
    </row>
    <row r="20">
      <c r="A20" s="3" t="s">
        <v>24</v>
      </c>
      <c r="B20" s="13">
        <v>3.0</v>
      </c>
      <c r="C20" s="14" t="s">
        <v>21</v>
      </c>
    </row>
    <row r="21" ht="15.75" customHeight="1">
      <c r="A21" s="3" t="s">
        <v>25</v>
      </c>
      <c r="B21" s="13">
        <v>0.5</v>
      </c>
      <c r="C21" s="14" t="s">
        <v>26</v>
      </c>
    </row>
    <row r="22" ht="27.75" customHeight="1">
      <c r="A22" s="15" t="s">
        <v>27</v>
      </c>
    </row>
    <row r="23" ht="15.75" customHeight="1"/>
    <row r="24" ht="19.5" customHeight="1">
      <c r="A24" s="4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43.5" customHeight="1">
      <c r="A25" s="16" t="s">
        <v>29</v>
      </c>
      <c r="B25" s="16" t="s">
        <v>30</v>
      </c>
      <c r="C25" s="16" t="s">
        <v>31</v>
      </c>
      <c r="D25" s="16" t="s">
        <v>32</v>
      </c>
      <c r="E25" s="16" t="s">
        <v>33</v>
      </c>
      <c r="F25" s="16" t="s">
        <v>34</v>
      </c>
      <c r="G25" s="16" t="s">
        <v>35</v>
      </c>
      <c r="H25" s="16" t="s">
        <v>36</v>
      </c>
      <c r="I25" s="16" t="s">
        <v>37</v>
      </c>
      <c r="J25" s="16" t="s">
        <v>38</v>
      </c>
      <c r="K25" s="16" t="s">
        <v>39</v>
      </c>
    </row>
    <row r="26" ht="15.75" customHeight="1">
      <c r="A26" s="17" t="s">
        <v>40</v>
      </c>
      <c r="B26" s="17"/>
      <c r="C26" s="18">
        <f>B17</f>
        <v>1.5</v>
      </c>
      <c r="D26" s="18">
        <f>B18</f>
        <v>3</v>
      </c>
      <c r="E26" s="18">
        <f>B19</f>
        <v>2</v>
      </c>
      <c r="F26" s="19">
        <v>0.0</v>
      </c>
      <c r="G26" s="18">
        <f t="shared" ref="G26:G38" si="1">D26/E26</f>
        <v>1.5</v>
      </c>
      <c r="H26" s="18">
        <f t="shared" ref="H26:H38" si="2">(1-$B$16/2)*G26</f>
        <v>1.425</v>
      </c>
      <c r="I26" s="18">
        <f>B20</f>
        <v>3</v>
      </c>
      <c r="J26" s="18">
        <f>B21</f>
        <v>0.5</v>
      </c>
      <c r="K26" s="18">
        <f t="shared" ref="K26:K38" si="3">I26*J26</f>
        <v>1.5</v>
      </c>
    </row>
    <row r="27" ht="15.75" customHeight="1">
      <c r="A27" s="20">
        <v>1.0</v>
      </c>
      <c r="B27" s="21">
        <v>0.0</v>
      </c>
      <c r="C27" s="18">
        <f t="shared" ref="C27:C38" si="4">C26+$B$16*(B27-C26)</f>
        <v>1.35</v>
      </c>
      <c r="D27" s="18">
        <f t="shared" ref="D27:D38" si="5">IF(B27&gt;0,IF(COUNTIF($B$27:B27,"&gt;0")=1,D26,D26+$B$16*(B27-D26)),D26)</f>
        <v>3</v>
      </c>
      <c r="E27" s="18">
        <f t="shared" ref="E27:E38" si="6">IF(B27&gt;0,IF(COUNTIF($B$27:B27,"&gt;0")=1,E26,E26+$B$16*(F27-E26)),E26)</f>
        <v>2</v>
      </c>
      <c r="F27" s="19">
        <f t="shared" ref="F27:F38" si="7">IF(N(B26)&gt;0,1,F26+1)</f>
        <v>1</v>
      </c>
      <c r="G27" s="18">
        <f t="shared" si="1"/>
        <v>1.5</v>
      </c>
      <c r="H27" s="18">
        <f t="shared" si="2"/>
        <v>1.425</v>
      </c>
      <c r="I27" s="18">
        <f t="shared" ref="I27:I38" si="8">IF(B27&gt;0,I26+$B$16*(B27-I26),I26)</f>
        <v>3</v>
      </c>
      <c r="J27" s="18">
        <f t="shared" ref="J27:J38" si="9">J26+$B$16*(IF(B27&gt;0,1,0)-J26)</f>
        <v>0.45</v>
      </c>
      <c r="K27" s="18">
        <f t="shared" si="3"/>
        <v>1.35</v>
      </c>
    </row>
    <row r="28" ht="15.75" customHeight="1">
      <c r="A28" s="20">
        <v>2.0</v>
      </c>
      <c r="B28" s="21">
        <v>3.0</v>
      </c>
      <c r="C28" s="18">
        <f t="shared" si="4"/>
        <v>1.515</v>
      </c>
      <c r="D28" s="18">
        <f t="shared" si="5"/>
        <v>3</v>
      </c>
      <c r="E28" s="18">
        <f t="shared" si="6"/>
        <v>2</v>
      </c>
      <c r="F28" s="19">
        <f t="shared" si="7"/>
        <v>2</v>
      </c>
      <c r="G28" s="18">
        <f t="shared" si="1"/>
        <v>1.5</v>
      </c>
      <c r="H28" s="18">
        <f t="shared" si="2"/>
        <v>1.425</v>
      </c>
      <c r="I28" s="18">
        <f t="shared" si="8"/>
        <v>3</v>
      </c>
      <c r="J28" s="18">
        <f t="shared" si="9"/>
        <v>0.505</v>
      </c>
      <c r="K28" s="18">
        <f t="shared" si="3"/>
        <v>1.515</v>
      </c>
    </row>
    <row r="29" ht="15.75" customHeight="1">
      <c r="A29" s="20">
        <v>3.0</v>
      </c>
      <c r="B29" s="21">
        <v>0.0</v>
      </c>
      <c r="C29" s="18">
        <f t="shared" si="4"/>
        <v>1.3635</v>
      </c>
      <c r="D29" s="18">
        <f t="shared" si="5"/>
        <v>3</v>
      </c>
      <c r="E29" s="18">
        <f t="shared" si="6"/>
        <v>2</v>
      </c>
      <c r="F29" s="19">
        <f t="shared" si="7"/>
        <v>1</v>
      </c>
      <c r="G29" s="18">
        <f t="shared" si="1"/>
        <v>1.5</v>
      </c>
      <c r="H29" s="18">
        <f t="shared" si="2"/>
        <v>1.425</v>
      </c>
      <c r="I29" s="18">
        <f t="shared" si="8"/>
        <v>3</v>
      </c>
      <c r="J29" s="18">
        <f t="shared" si="9"/>
        <v>0.4545</v>
      </c>
      <c r="K29" s="18">
        <f t="shared" si="3"/>
        <v>1.3635</v>
      </c>
    </row>
    <row r="30" ht="15.75" customHeight="1">
      <c r="A30" s="20">
        <v>4.0</v>
      </c>
      <c r="B30" s="21">
        <v>0.0</v>
      </c>
      <c r="C30" s="18">
        <f t="shared" si="4"/>
        <v>1.22715</v>
      </c>
      <c r="D30" s="18">
        <f t="shared" si="5"/>
        <v>3</v>
      </c>
      <c r="E30" s="18">
        <f t="shared" si="6"/>
        <v>2</v>
      </c>
      <c r="F30" s="19">
        <f t="shared" si="7"/>
        <v>2</v>
      </c>
      <c r="G30" s="18">
        <f t="shared" si="1"/>
        <v>1.5</v>
      </c>
      <c r="H30" s="18">
        <f t="shared" si="2"/>
        <v>1.425</v>
      </c>
      <c r="I30" s="18">
        <f t="shared" si="8"/>
        <v>3</v>
      </c>
      <c r="J30" s="18">
        <f t="shared" si="9"/>
        <v>0.40905</v>
      </c>
      <c r="K30" s="18">
        <f t="shared" si="3"/>
        <v>1.22715</v>
      </c>
    </row>
    <row r="31" ht="15.75" customHeight="1">
      <c r="A31" s="20">
        <v>5.0</v>
      </c>
      <c r="B31" s="21">
        <v>5.0</v>
      </c>
      <c r="C31" s="18">
        <f t="shared" si="4"/>
        <v>1.604435</v>
      </c>
      <c r="D31" s="18">
        <f t="shared" si="5"/>
        <v>3.2</v>
      </c>
      <c r="E31" s="18">
        <f t="shared" si="6"/>
        <v>2.1</v>
      </c>
      <c r="F31" s="19">
        <f t="shared" si="7"/>
        <v>3</v>
      </c>
      <c r="G31" s="18">
        <f t="shared" si="1"/>
        <v>1.523809524</v>
      </c>
      <c r="H31" s="18">
        <f t="shared" si="2"/>
        <v>1.447619048</v>
      </c>
      <c r="I31" s="18">
        <f t="shared" si="8"/>
        <v>3.2</v>
      </c>
      <c r="J31" s="18">
        <f t="shared" si="9"/>
        <v>0.468145</v>
      </c>
      <c r="K31" s="18">
        <f t="shared" si="3"/>
        <v>1.498064</v>
      </c>
    </row>
    <row r="32" ht="15.75" customHeight="1">
      <c r="A32" s="20">
        <v>6.0</v>
      </c>
      <c r="B32" s="21">
        <v>0.0</v>
      </c>
      <c r="C32" s="18">
        <f t="shared" si="4"/>
        <v>1.4439915</v>
      </c>
      <c r="D32" s="18">
        <f t="shared" si="5"/>
        <v>3.2</v>
      </c>
      <c r="E32" s="18">
        <f t="shared" si="6"/>
        <v>2.1</v>
      </c>
      <c r="F32" s="19">
        <f t="shared" si="7"/>
        <v>1</v>
      </c>
      <c r="G32" s="18">
        <f t="shared" si="1"/>
        <v>1.523809524</v>
      </c>
      <c r="H32" s="18">
        <f t="shared" si="2"/>
        <v>1.447619048</v>
      </c>
      <c r="I32" s="18">
        <f t="shared" si="8"/>
        <v>3.2</v>
      </c>
      <c r="J32" s="18">
        <f t="shared" si="9"/>
        <v>0.4213305</v>
      </c>
      <c r="K32" s="18">
        <f t="shared" si="3"/>
        <v>1.3482576</v>
      </c>
    </row>
    <row r="33" ht="15.75" customHeight="1">
      <c r="A33" s="20">
        <v>7.0</v>
      </c>
      <c r="B33" s="21">
        <v>0.0</v>
      </c>
      <c r="C33" s="18">
        <f t="shared" si="4"/>
        <v>1.29959235</v>
      </c>
      <c r="D33" s="18">
        <f t="shared" si="5"/>
        <v>3.2</v>
      </c>
      <c r="E33" s="18">
        <f t="shared" si="6"/>
        <v>2.1</v>
      </c>
      <c r="F33" s="19">
        <f t="shared" si="7"/>
        <v>2</v>
      </c>
      <c r="G33" s="18">
        <f t="shared" si="1"/>
        <v>1.523809524</v>
      </c>
      <c r="H33" s="18">
        <f t="shared" si="2"/>
        <v>1.447619048</v>
      </c>
      <c r="I33" s="18">
        <f t="shared" si="8"/>
        <v>3.2</v>
      </c>
      <c r="J33" s="18">
        <f t="shared" si="9"/>
        <v>0.37919745</v>
      </c>
      <c r="K33" s="18">
        <f t="shared" si="3"/>
        <v>1.21343184</v>
      </c>
    </row>
    <row r="34" ht="15.75" customHeight="1">
      <c r="A34" s="20">
        <v>8.0</v>
      </c>
      <c r="B34" s="21">
        <v>0.0</v>
      </c>
      <c r="C34" s="18">
        <f t="shared" si="4"/>
        <v>1.169633115</v>
      </c>
      <c r="D34" s="18">
        <f t="shared" si="5"/>
        <v>3.2</v>
      </c>
      <c r="E34" s="18">
        <f t="shared" si="6"/>
        <v>2.1</v>
      </c>
      <c r="F34" s="19">
        <f t="shared" si="7"/>
        <v>3</v>
      </c>
      <c r="G34" s="18">
        <f t="shared" si="1"/>
        <v>1.523809524</v>
      </c>
      <c r="H34" s="18">
        <f t="shared" si="2"/>
        <v>1.447619048</v>
      </c>
      <c r="I34" s="18">
        <f t="shared" si="8"/>
        <v>3.2</v>
      </c>
      <c r="J34" s="18">
        <f t="shared" si="9"/>
        <v>0.341277705</v>
      </c>
      <c r="K34" s="18">
        <f t="shared" si="3"/>
        <v>1.092088656</v>
      </c>
    </row>
    <row r="35" ht="15.75" customHeight="1">
      <c r="A35" s="20">
        <v>9.0</v>
      </c>
      <c r="B35" s="21">
        <v>2.0</v>
      </c>
      <c r="C35" s="18">
        <f t="shared" si="4"/>
        <v>1.252669804</v>
      </c>
      <c r="D35" s="18">
        <f t="shared" si="5"/>
        <v>3.08</v>
      </c>
      <c r="E35" s="18">
        <f t="shared" si="6"/>
        <v>2.29</v>
      </c>
      <c r="F35" s="19">
        <f t="shared" si="7"/>
        <v>4</v>
      </c>
      <c r="G35" s="18">
        <f t="shared" si="1"/>
        <v>1.344978166</v>
      </c>
      <c r="H35" s="18">
        <f t="shared" si="2"/>
        <v>1.277729258</v>
      </c>
      <c r="I35" s="18">
        <f t="shared" si="8"/>
        <v>3.08</v>
      </c>
      <c r="J35" s="18">
        <f t="shared" si="9"/>
        <v>0.4071499345</v>
      </c>
      <c r="K35" s="18">
        <f t="shared" si="3"/>
        <v>1.254021798</v>
      </c>
    </row>
    <row r="36" ht="15.75" customHeight="1">
      <c r="A36" s="20">
        <v>10.0</v>
      </c>
      <c r="B36" s="21">
        <v>0.0</v>
      </c>
      <c r="C36" s="18">
        <f t="shared" si="4"/>
        <v>1.127402823</v>
      </c>
      <c r="D36" s="18">
        <f t="shared" si="5"/>
        <v>3.08</v>
      </c>
      <c r="E36" s="18">
        <f t="shared" si="6"/>
        <v>2.29</v>
      </c>
      <c r="F36" s="19">
        <f t="shared" si="7"/>
        <v>1</v>
      </c>
      <c r="G36" s="18">
        <f t="shared" si="1"/>
        <v>1.344978166</v>
      </c>
      <c r="H36" s="18">
        <f t="shared" si="2"/>
        <v>1.277729258</v>
      </c>
      <c r="I36" s="18">
        <f t="shared" si="8"/>
        <v>3.08</v>
      </c>
      <c r="J36" s="18">
        <f t="shared" si="9"/>
        <v>0.3664349411</v>
      </c>
      <c r="K36" s="18">
        <f t="shared" si="3"/>
        <v>1.128619618</v>
      </c>
    </row>
    <row r="37" ht="15.75" customHeight="1">
      <c r="A37" s="20">
        <v>11.0</v>
      </c>
      <c r="B37" s="21">
        <v>4.0</v>
      </c>
      <c r="C37" s="18">
        <f t="shared" si="4"/>
        <v>1.414662541</v>
      </c>
      <c r="D37" s="18">
        <f t="shared" si="5"/>
        <v>3.172</v>
      </c>
      <c r="E37" s="18">
        <f t="shared" si="6"/>
        <v>2.261</v>
      </c>
      <c r="F37" s="19">
        <f t="shared" si="7"/>
        <v>2</v>
      </c>
      <c r="G37" s="18">
        <f t="shared" si="1"/>
        <v>1.402919062</v>
      </c>
      <c r="H37" s="18">
        <f t="shared" si="2"/>
        <v>1.332773109</v>
      </c>
      <c r="I37" s="18">
        <f t="shared" si="8"/>
        <v>3.172</v>
      </c>
      <c r="J37" s="18">
        <f t="shared" si="9"/>
        <v>0.4297914469</v>
      </c>
      <c r="K37" s="18">
        <f t="shared" si="3"/>
        <v>1.36329847</v>
      </c>
    </row>
    <row r="38" ht="15.75" customHeight="1">
      <c r="A38" s="20">
        <v>12.0</v>
      </c>
      <c r="B38" s="21">
        <v>0.0</v>
      </c>
      <c r="C38" s="18">
        <f t="shared" si="4"/>
        <v>1.273196287</v>
      </c>
      <c r="D38" s="18">
        <f t="shared" si="5"/>
        <v>3.172</v>
      </c>
      <c r="E38" s="18">
        <f t="shared" si="6"/>
        <v>2.261</v>
      </c>
      <c r="F38" s="19">
        <f t="shared" si="7"/>
        <v>1</v>
      </c>
      <c r="G38" s="18">
        <f t="shared" si="1"/>
        <v>1.402919062</v>
      </c>
      <c r="H38" s="18">
        <f t="shared" si="2"/>
        <v>1.332773109</v>
      </c>
      <c r="I38" s="18">
        <f t="shared" si="8"/>
        <v>3.172</v>
      </c>
      <c r="J38" s="18">
        <f t="shared" si="9"/>
        <v>0.3868123023</v>
      </c>
      <c r="K38" s="18">
        <f t="shared" si="3"/>
        <v>1.226968623</v>
      </c>
    </row>
    <row r="39" ht="15.75" customHeight="1"/>
    <row r="40" ht="19.5" customHeight="1">
      <c r="A40" s="4" t="s">
        <v>41</v>
      </c>
      <c r="B40" s="4" t="s">
        <v>42</v>
      </c>
      <c r="C40" s="4" t="s">
        <v>43</v>
      </c>
      <c r="D40" s="5"/>
      <c r="E40" s="5"/>
      <c r="F40" s="5"/>
      <c r="G40" s="5"/>
      <c r="H40" s="5"/>
      <c r="I40" s="5"/>
      <c r="J40" s="5"/>
      <c r="K40" s="5"/>
    </row>
    <row r="41" ht="15.75" customHeight="1">
      <c r="A41" s="3" t="s">
        <v>44</v>
      </c>
      <c r="B41" s="22">
        <f>AVERAGE($B$27:$B$38)</f>
        <v>1.166666667</v>
      </c>
    </row>
    <row r="42" ht="15.75" customHeight="1">
      <c r="A42" s="3" t="s">
        <v>45</v>
      </c>
      <c r="B42" s="22">
        <f>C38</f>
        <v>1.273196287</v>
      </c>
      <c r="C42" s="23">
        <f t="shared" ref="C42:C45" si="10">B42/$B$41-1</f>
        <v>0.09131110293</v>
      </c>
    </row>
    <row r="43" ht="15.75" customHeight="1">
      <c r="A43" s="3" t="s">
        <v>46</v>
      </c>
      <c r="B43" s="22">
        <f>G38</f>
        <v>1.402919062</v>
      </c>
      <c r="C43" s="23">
        <f t="shared" si="10"/>
        <v>0.2025020535</v>
      </c>
    </row>
    <row r="44" ht="15.75" customHeight="1">
      <c r="A44" s="3" t="s">
        <v>47</v>
      </c>
      <c r="B44" s="22">
        <f>H38</f>
        <v>1.332773109</v>
      </c>
      <c r="C44" s="23">
        <f t="shared" si="10"/>
        <v>0.1423769508</v>
      </c>
    </row>
    <row r="45" ht="15.75" customHeight="1">
      <c r="A45" s="3" t="s">
        <v>48</v>
      </c>
      <c r="B45" s="22">
        <f>K38</f>
        <v>1.226968623</v>
      </c>
      <c r="C45" s="23">
        <f t="shared" si="10"/>
        <v>0.05168739092</v>
      </c>
    </row>
    <row r="46" ht="15.75" customHeight="1"/>
    <row r="47" ht="19.5" customHeight="1">
      <c r="A47" s="4" t="s">
        <v>49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ht="15.75" customHeight="1">
      <c r="A48" s="3" t="s">
        <v>50</v>
      </c>
      <c r="B48" s="19">
        <f>COUNTIF($B$27:$B$38,"&gt;0")</f>
        <v>4</v>
      </c>
    </row>
    <row r="49" ht="15.75" customHeight="1">
      <c r="A49" s="3" t="s">
        <v>51</v>
      </c>
      <c r="B49" s="22">
        <f>SUMIF($B$27:$B$38,"&gt;0")/B48</f>
        <v>3.5</v>
      </c>
    </row>
    <row r="50" ht="15.75" customHeight="1">
      <c r="A50" s="3" t="s">
        <v>52</v>
      </c>
      <c r="B50" s="22">
        <f>COUNT($B$27:$B$38)/B48</f>
        <v>3</v>
      </c>
      <c r="C50" s="14" t="s">
        <v>53</v>
      </c>
    </row>
    <row r="51" ht="15.75" customHeight="1">
      <c r="A51" s="3" t="s">
        <v>54</v>
      </c>
      <c r="B51" s="22">
        <f>(SUMPRODUCT(($B$27:$B$38&gt;0)*($B$27:$B$38-B49)^2)/B48)/B49^2</f>
        <v>0.1020408163</v>
      </c>
      <c r="C51" s="14" t="s">
        <v>55</v>
      </c>
    </row>
    <row r="52" ht="15.75" customHeight="1">
      <c r="A52" s="3" t="s">
        <v>56</v>
      </c>
      <c r="B52" s="24" t="str">
        <f>IF(AND(B50&lt;1.32,B51&lt;0.49),"Smooth",IF(B50&lt;1.32,"Erratic",IF(B51&lt;0.49,"Intermittent","Lumpy")))</f>
        <v>Intermittent</v>
      </c>
      <c r="C52" s="14" t="s">
        <v>57</v>
      </c>
    </row>
    <row r="53" ht="15.75" customHeight="1"/>
    <row r="54" ht="19.5" customHeight="1">
      <c r="A54" s="4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ht="15.75" customHeight="1">
      <c r="A55" s="25" t="s">
        <v>59</v>
      </c>
      <c r="B55" s="25" t="s">
        <v>60</v>
      </c>
      <c r="C55" s="25" t="s">
        <v>61</v>
      </c>
      <c r="D55" s="25" t="s">
        <v>62</v>
      </c>
    </row>
    <row r="56" ht="15.75" customHeight="1">
      <c r="A56" s="3" t="s">
        <v>63</v>
      </c>
      <c r="B56" s="13">
        <v>0.0</v>
      </c>
      <c r="C56" s="22">
        <f>$B$41</f>
        <v>1.166666667</v>
      </c>
      <c r="D56" s="14" t="s">
        <v>64</v>
      </c>
    </row>
    <row r="57" ht="15.75" customHeight="1">
      <c r="A57" s="3" t="s">
        <v>65</v>
      </c>
      <c r="B57" s="19">
        <f t="shared" ref="B57:C57" si="11">COUNTIF($B$27:$B$38,0)</f>
        <v>8</v>
      </c>
      <c r="C57" s="19">
        <f t="shared" si="11"/>
        <v>8</v>
      </c>
      <c r="D57" s="14" t="s">
        <v>66</v>
      </c>
    </row>
    <row r="58" ht="15.75" customHeight="1">
      <c r="A58" s="3" t="s">
        <v>67</v>
      </c>
      <c r="B58" s="22">
        <f>SUMPRODUCT(ABS($B$27:$B$38-$B$56))/COUNT($B$27:$B$38)</f>
        <v>1.166666667</v>
      </c>
      <c r="C58" s="22">
        <f>SUMPRODUCT(ABS($B$27:$B$38-$C$56))/COUNT($B$27:$B$38)</f>
        <v>1.555555556</v>
      </c>
      <c r="D58" s="14" t="s">
        <v>68</v>
      </c>
    </row>
    <row r="59" ht="15.75" customHeight="1">
      <c r="A59" s="3" t="s">
        <v>69</v>
      </c>
      <c r="B59" s="26">
        <f>SUMPRODUCT(ABS($B$27:$B$38-$B$56))/SUM($B$27:$B$38)</f>
        <v>1</v>
      </c>
      <c r="C59" s="26">
        <f>SUMPRODUCT(ABS($B$27:$B$38-$C$56))/SUM($B$27:$B$38)</f>
        <v>1.333333333</v>
      </c>
      <c r="D59" s="14" t="s">
        <v>70</v>
      </c>
    </row>
    <row r="60" ht="15.75" customHeight="1">
      <c r="A60" s="3" t="s">
        <v>71</v>
      </c>
      <c r="B60" s="22">
        <f>SQRT(SUMPRODUCT(($B$27:$B$38-$B$56)^2)/COUNT($B$27:$B$38))</f>
        <v>2.121320344</v>
      </c>
      <c r="C60" s="22">
        <f>SQRT(SUMPRODUCT(($B$27:$B$38-$C$56)^2)/COUNT($B$27:$B$38))</f>
        <v>1.771690969</v>
      </c>
      <c r="D60" s="14" t="s">
        <v>72</v>
      </c>
    </row>
    <row r="61" ht="15.75" customHeight="1">
      <c r="A61" s="3" t="s">
        <v>73</v>
      </c>
      <c r="B61" s="26">
        <f>($B$56*COUNT($B$27:$B$38)-SUM($B$27:$B$38))/SUM($B$27:$B$38)</f>
        <v>-1</v>
      </c>
      <c r="C61" s="26">
        <f>($C$56*COUNT($B$27:$B$38)-SUM($B$27:$B$38))/SUM($B$27:$B$38)</f>
        <v>0</v>
      </c>
      <c r="D61" s="14" t="s">
        <v>74</v>
      </c>
    </row>
    <row r="62" ht="15.75" customHeight="1">
      <c r="A62" s="3" t="s">
        <v>75</v>
      </c>
      <c r="B62" s="26">
        <f>ABS($B$56*COUNT($B$27:$B$38)-SUM($B$27:$B$38))/SUM($B$27:$B$38)</f>
        <v>1</v>
      </c>
      <c r="C62" s="26">
        <f>ABS($C$56*COUNT($B$27:$B$38)-SUM($B$27:$B$38))/SUM($B$27:$B$38)</f>
        <v>0</v>
      </c>
      <c r="D62" s="14" t="s">
        <v>76</v>
      </c>
    </row>
    <row r="63" ht="15.75" customHeight="1"/>
    <row r="64" ht="15.75" customHeight="1">
      <c r="A64" s="10" t="s">
        <v>77</v>
      </c>
    </row>
    <row r="65" ht="15.75" customHeight="1">
      <c r="A65" s="14" t="s">
        <v>78</v>
      </c>
    </row>
    <row r="66" ht="15.75" customHeight="1">
      <c r="A66" s="14" t="s">
        <v>79</v>
      </c>
    </row>
    <row r="67" ht="15.75" customHeight="1">
      <c r="A67" s="14" t="s">
        <v>80</v>
      </c>
    </row>
    <row r="68" ht="15.75" customHeight="1">
      <c r="A68" s="14" t="s">
        <v>81</v>
      </c>
    </row>
    <row r="69" ht="15.75" customHeight="1">
      <c r="A69" s="14" t="s">
        <v>82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5:K5"/>
    <mergeCell ref="J1:K2"/>
    <mergeCell ref="A6:K6"/>
    <mergeCell ref="A7:K7"/>
    <mergeCell ref="A8:K8"/>
    <mergeCell ref="A9:K9"/>
    <mergeCell ref="A10:K10"/>
    <mergeCell ref="A11:K11"/>
    <mergeCell ref="A22:K22"/>
  </mergeCells>
  <printOptions/>
  <pageMargins bottom="1.0" footer="0.0" header="0.0" left="0.75" right="0.75" top="1.0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2026-10-05T12:56:24Z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